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evisione costo personale" sheetId="8" r:id="rId1"/>
    <sheet name="Foglio2" sheetId="13" r:id="rId2"/>
  </sheets>
  <calcPr calcId="162913"/>
</workbook>
</file>

<file path=xl/calcChain.xml><?xml version="1.0" encoding="utf-8"?>
<calcChain xmlns="http://schemas.openxmlformats.org/spreadsheetml/2006/main">
  <c r="H34" i="8" l="1"/>
  <c r="O37" i="8"/>
  <c r="P37" i="8"/>
  <c r="O36" i="8"/>
  <c r="P36" i="8"/>
  <c r="P35" i="8"/>
  <c r="O35" i="8"/>
  <c r="U37" i="8"/>
  <c r="T37" i="8"/>
  <c r="U36" i="8"/>
  <c r="T36" i="8"/>
  <c r="U35" i="8"/>
  <c r="T35" i="8"/>
  <c r="S34" i="8"/>
  <c r="U34" i="8"/>
  <c r="P34" i="8"/>
  <c r="K36" i="8"/>
  <c r="J37" i="8"/>
  <c r="K37" i="8"/>
  <c r="J36" i="8"/>
  <c r="J35" i="8"/>
  <c r="K35" i="8"/>
  <c r="J34" i="8"/>
  <c r="E37" i="8"/>
  <c r="F37" i="8"/>
  <c r="E36" i="8"/>
  <c r="F36" i="8"/>
  <c r="E35" i="8"/>
  <c r="F35" i="8"/>
  <c r="E34" i="8"/>
  <c r="F34" i="8"/>
  <c r="R35" i="8"/>
  <c r="R34" i="8"/>
  <c r="M35" i="8"/>
  <c r="M34" i="8"/>
  <c r="H35" i="8"/>
  <c r="C35" i="8"/>
  <c r="C34" i="8"/>
  <c r="T34" i="8"/>
  <c r="S36" i="8"/>
  <c r="S35" i="8"/>
  <c r="N36" i="8"/>
  <c r="N35" i="8"/>
  <c r="O34" i="8"/>
  <c r="N34" i="8"/>
  <c r="I36" i="8"/>
  <c r="I35" i="8"/>
  <c r="K34" i="8"/>
  <c r="I34" i="8"/>
  <c r="D36" i="8"/>
  <c r="D35" i="8"/>
  <c r="D34" i="8"/>
  <c r="G34" i="8" l="1"/>
  <c r="V37" i="8"/>
  <c r="V36" i="8"/>
  <c r="V34" i="8"/>
  <c r="Q37" i="8"/>
  <c r="Q36" i="8"/>
  <c r="Q34" i="8"/>
  <c r="L37" i="8"/>
  <c r="L36" i="8"/>
  <c r="L34" i="8"/>
  <c r="E38" i="8"/>
  <c r="G37" i="8"/>
  <c r="G36" i="8"/>
  <c r="C6" i="8"/>
  <c r="C7" i="8"/>
  <c r="C8" i="8"/>
  <c r="C5" i="8"/>
  <c r="O29" i="8"/>
  <c r="N29" i="8"/>
  <c r="I18" i="8"/>
  <c r="W34" i="8" l="1"/>
  <c r="W37" i="8"/>
  <c r="W36" i="8"/>
  <c r="D8" i="8"/>
  <c r="F18" i="8" s="1"/>
  <c r="C18" i="8"/>
  <c r="D18" i="8" s="1"/>
  <c r="G18" i="8" l="1"/>
  <c r="F8" i="8"/>
  <c r="D28" i="8" l="1"/>
  <c r="C28" i="8"/>
  <c r="H18" i="8"/>
  <c r="F28" i="8"/>
  <c r="E28" i="8"/>
  <c r="G28" i="8" l="1"/>
  <c r="D5" i="8" l="1"/>
  <c r="F15" i="8" s="1"/>
  <c r="U38" i="8" l="1"/>
  <c r="C38" i="8"/>
  <c r="I16" i="8" l="1"/>
  <c r="G15" i="8"/>
  <c r="C25" i="8" s="1"/>
  <c r="D7" i="8"/>
  <c r="D6" i="8"/>
  <c r="F16" i="8" s="1"/>
  <c r="D25" i="8" l="1"/>
  <c r="E25" i="8"/>
  <c r="F25" i="8"/>
  <c r="H15" i="8"/>
  <c r="J9" i="8"/>
  <c r="M6" i="8"/>
  <c r="M7" i="8"/>
  <c r="M5" i="8"/>
  <c r="L8" i="8"/>
  <c r="K8" i="8"/>
  <c r="K9" i="8" s="1"/>
  <c r="N7" i="8"/>
  <c r="N6" i="8"/>
  <c r="N5" i="8"/>
  <c r="I9" i="8"/>
  <c r="I17" i="8"/>
  <c r="G16" i="8"/>
  <c r="F26" i="8" s="1"/>
  <c r="V35" i="8" s="1"/>
  <c r="G17" i="8"/>
  <c r="F17" i="8"/>
  <c r="C17" i="8"/>
  <c r="D17" i="8" s="1"/>
  <c r="C16" i="8"/>
  <c r="C15" i="8"/>
  <c r="F6" i="8"/>
  <c r="F7" i="8"/>
  <c r="M8" i="8" l="1"/>
  <c r="M9" i="8" s="1"/>
  <c r="L9" i="8"/>
  <c r="E26" i="8"/>
  <c r="Q35" i="8" s="1"/>
  <c r="H16" i="8"/>
  <c r="H19" i="8" s="1"/>
  <c r="D26" i="8"/>
  <c r="L35" i="8" s="1"/>
  <c r="C26" i="8"/>
  <c r="G35" i="8" s="1"/>
  <c r="D27" i="8"/>
  <c r="H17" i="8"/>
  <c r="C27" i="8"/>
  <c r="E27" i="8"/>
  <c r="F27" i="8"/>
  <c r="N8" i="8"/>
  <c r="N9" i="8" s="1"/>
  <c r="H38" i="8"/>
  <c r="W35" i="8" l="1"/>
  <c r="W38" i="8" s="1"/>
  <c r="F29" i="8"/>
  <c r="E29" i="8"/>
  <c r="D29" i="8"/>
  <c r="C29" i="8"/>
  <c r="K38" i="8"/>
  <c r="I38" i="8"/>
  <c r="J38" i="8"/>
  <c r="N38" i="8" l="1"/>
  <c r="S38" i="8"/>
  <c r="P26" i="8" s="1"/>
  <c r="P38" i="8"/>
  <c r="R38" i="8"/>
  <c r="I15" i="8"/>
  <c r="T38" i="8"/>
  <c r="O38" i="8"/>
  <c r="P27" i="8" s="1"/>
  <c r="M38" i="8"/>
  <c r="P25" i="8" s="1"/>
  <c r="F38" i="8"/>
  <c r="D16" i="8"/>
  <c r="D15" i="8"/>
  <c r="P28" i="8" l="1"/>
  <c r="P29" i="8" s="1"/>
  <c r="D38" i="8"/>
  <c r="F5" i="8"/>
  <c r="G25" i="8" l="1"/>
  <c r="G27" i="8"/>
  <c r="G26" i="8"/>
  <c r="H21" i="8"/>
  <c r="G29" i="8" l="1"/>
</calcChain>
</file>

<file path=xl/sharedStrings.xml><?xml version="1.0" encoding="utf-8"?>
<sst xmlns="http://schemas.openxmlformats.org/spreadsheetml/2006/main" count="110" uniqueCount="70">
  <si>
    <t>costo orario</t>
  </si>
  <si>
    <t>Personale interno</t>
  </si>
  <si>
    <t>Ore anno</t>
  </si>
  <si>
    <t>Totale imputato a progetto</t>
  </si>
  <si>
    <t>Importo indicato a progetto</t>
  </si>
  <si>
    <t>Differenza</t>
  </si>
  <si>
    <t>% impegno su Interreg</t>
  </si>
  <si>
    <t>Importo annuale imputato su Interreg</t>
  </si>
  <si>
    <t>importo mensile imputato su Interreg</t>
  </si>
  <si>
    <t>Importo totale imputato su Interreg</t>
  </si>
  <si>
    <t>ore totali dedicate a Interreg</t>
  </si>
  <si>
    <t>Totale rendicontato</t>
  </si>
  <si>
    <t>Totale</t>
  </si>
  <si>
    <t>WP 1</t>
  </si>
  <si>
    <t>WP 2</t>
  </si>
  <si>
    <t>WP 3</t>
  </si>
  <si>
    <t>WP 4</t>
  </si>
  <si>
    <t>totale</t>
  </si>
  <si>
    <t>WP</t>
  </si>
  <si>
    <t xml:space="preserve">Project management </t>
  </si>
  <si>
    <t>Previsione rendiconto</t>
  </si>
  <si>
    <t xml:space="preserve">Previsione rendiconto </t>
  </si>
  <si>
    <t>WP1</t>
  </si>
  <si>
    <t>WP2</t>
  </si>
  <si>
    <t>WP3</t>
  </si>
  <si>
    <t>WP4</t>
  </si>
  <si>
    <t>Descrizione</t>
  </si>
  <si>
    <t>Ore mensili calcolate su 1720 anno</t>
  </si>
  <si>
    <t>periodo da prg</t>
  </si>
  <si>
    <t>Stefano Maschio</t>
  </si>
  <si>
    <t>ORD</t>
  </si>
  <si>
    <t>ASS</t>
  </si>
  <si>
    <t>ore produttive nei 24 mesi del progetto</t>
  </si>
  <si>
    <t>Durata progetto 24 mesi</t>
  </si>
  <si>
    <t xml:space="preserve">Comunicazione </t>
  </si>
  <si>
    <t>01/2020-06/2021</t>
  </si>
  <si>
    <t>Ordinario</t>
  </si>
  <si>
    <t>Associato</t>
  </si>
  <si>
    <t>Ore</t>
  </si>
  <si>
    <t>Importo</t>
  </si>
  <si>
    <t>Alfredo Soldati</t>
  </si>
  <si>
    <t>Cristian Marchioli</t>
  </si>
  <si>
    <t>Rendiconto 01/11/2019-30/04/2020</t>
  </si>
  <si>
    <t>Rendiconto 01/05/2020-31/10/2020</t>
  </si>
  <si>
    <t>Rendiconto 01/11/2019-30/04/2020 (6 MESI)</t>
  </si>
  <si>
    <t>Rendiconto 01/05/2020-31/10/2020 (6 MESI)</t>
  </si>
  <si>
    <t>11/2019-10/2021</t>
  </si>
  <si>
    <t>Sviluppo di protocolli innovativi per la riduzione dell'impatto ambientale dei materiali di scarto da lavorazione lapidea</t>
  </si>
  <si>
    <t>Identificazione e sviluppo di nuove soluzioni di miglior prassi per il recupero degli scarti di lavorazione come materie prime secondarie</t>
  </si>
  <si>
    <t>04/2020-10/2021</t>
  </si>
  <si>
    <t>Importo personale</t>
  </si>
  <si>
    <t>In WP3 nel file piano finanziario dettagliato sono state indicati Euro 35,000 anziché 37,500</t>
  </si>
  <si>
    <t>Marina Campolo</t>
  </si>
  <si>
    <t>Rendiconto 01/05/2021-31/10/2021</t>
  </si>
  <si>
    <t>Tabella piano finanziario a preventivo</t>
  </si>
  <si>
    <t>Rendiconto 01/11/2020 - 30/04/2021</t>
  </si>
  <si>
    <t>Rendiconto 01/11/2020 - 30/04/2021 (6 MESI)</t>
  </si>
  <si>
    <t>Rendiconto 01/05/2021-31/10/2021 (6 MESI)</t>
  </si>
  <si>
    <r>
      <t xml:space="preserve">WP3 </t>
    </r>
    <r>
      <rPr>
        <sz val="8"/>
        <color theme="1"/>
        <rFont val="Calibri"/>
        <family val="2"/>
        <scheme val="minor"/>
      </rPr>
      <t>da 01/2020</t>
    </r>
  </si>
  <si>
    <r>
      <t xml:space="preserve">WP3 </t>
    </r>
    <r>
      <rPr>
        <sz val="8"/>
        <color theme="1"/>
        <rFont val="Calibri"/>
        <family val="2"/>
        <scheme val="minor"/>
      </rPr>
      <t>fino 06/2021</t>
    </r>
  </si>
  <si>
    <r>
      <t>WP4</t>
    </r>
    <r>
      <rPr>
        <sz val="8"/>
        <color theme="1"/>
        <rFont val="Calibri"/>
        <family val="2"/>
        <scheme val="minor"/>
      </rPr>
      <t xml:space="preserve"> da 04/2020</t>
    </r>
  </si>
  <si>
    <t>Rimodulazione Cristian</t>
  </si>
  <si>
    <t>COSTO AZIENDALE</t>
  </si>
  <si>
    <t>Costo Personale</t>
  </si>
  <si>
    <t xml:space="preserve">ORE MESE </t>
  </si>
  <si>
    <t>effettivo</t>
  </si>
  <si>
    <r>
      <t xml:space="preserve">Alfredo Soldati </t>
    </r>
    <r>
      <rPr>
        <sz val="8"/>
        <color theme="1"/>
        <rFont val="Calibri"/>
        <family val="2"/>
        <scheme val="minor"/>
      </rPr>
      <t>da nov 2018 a ott 2019</t>
    </r>
  </si>
  <si>
    <t>Cristian Marchioli 2018</t>
  </si>
  <si>
    <t>Marina Campolo 2018</t>
  </si>
  <si>
    <t>Stefano Maschio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</si>
</sst>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6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</cellStyleXfs>
  <cellXfs count="96">
    <xf numFmtId="0" fontId="0" fillId="0" borderId="0" xfId="0"/>
    <xf numFmtId="4" fontId="0" fillId="0" borderId="0" xfId="0" applyNumberFormat="1"/>
    <xf numFmtId="0" fontId="0" fillId="0" borderId="3" xfId="0" applyBorder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5" fontId="0" fillId="0" borderId="3" xfId="3" applyFont="1" applyBorder="1"/>
    <xf numFmtId="1" fontId="0" fillId="0" borderId="3" xfId="3" applyNumberFormat="1" applyFont="1" applyBorder="1"/>
    <xf numFmtId="165" fontId="0" fillId="0" borderId="0" xfId="3" applyFont="1"/>
    <xf numFmtId="1" fontId="0" fillId="0" borderId="0" xfId="3" applyNumberFormat="1" applyFont="1"/>
    <xf numFmtId="43" fontId="0" fillId="0" borderId="0" xfId="2" applyFont="1"/>
    <xf numFmtId="43" fontId="0" fillId="0" borderId="3" xfId="2" applyFont="1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43" fontId="0" fillId="2" borderId="3" xfId="0" applyNumberFormat="1" applyFill="1" applyBorder="1"/>
    <xf numFmtId="43" fontId="0" fillId="4" borderId="3" xfId="0" applyNumberForma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3" fontId="1" fillId="4" borderId="3" xfId="0" applyNumberFormat="1" applyFont="1" applyFill="1" applyBorder="1"/>
    <xf numFmtId="0" fontId="1" fillId="0" borderId="0" xfId="0" applyFont="1" applyAlignment="1">
      <alignment horizontal="center" vertical="center" wrapText="1"/>
    </xf>
    <xf numFmtId="43" fontId="0" fillId="0" borderId="0" xfId="0" applyNumberFormat="1"/>
    <xf numFmtId="0" fontId="0" fillId="4" borderId="3" xfId="0" applyFill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 wrapText="1" shrinkToFit="1"/>
    </xf>
    <xf numFmtId="4" fontId="2" fillId="0" borderId="3" xfId="1" applyNumberFormat="1" applyFont="1" applyFill="1" applyBorder="1" applyAlignment="1" applyProtection="1">
      <alignment horizontal="right" vertical="center"/>
      <protection locked="0"/>
    </xf>
    <xf numFmtId="4" fontId="2" fillId="7" borderId="5" xfId="1" applyNumberFormat="1" applyFont="1" applyFill="1" applyBorder="1" applyAlignment="1" applyProtection="1">
      <alignment horizontal="right" vertical="center"/>
      <protection locked="0"/>
    </xf>
    <xf numFmtId="4" fontId="2" fillId="6" borderId="4" xfId="1" applyNumberFormat="1" applyFont="1" applyFill="1" applyBorder="1" applyAlignment="1" applyProtection="1">
      <alignment horizontal="center" vertical="center" wrapText="1"/>
      <protection locked="0"/>
    </xf>
    <xf numFmtId="43" fontId="0" fillId="0" borderId="6" xfId="2" applyFont="1" applyBorder="1"/>
    <xf numFmtId="43" fontId="0" fillId="7" borderId="9" xfId="2" applyFont="1" applyFill="1" applyBorder="1"/>
    <xf numFmtId="43" fontId="0" fillId="7" borderId="10" xfId="2" applyFont="1" applyFill="1" applyBorder="1"/>
    <xf numFmtId="165" fontId="0" fillId="0" borderId="0" xfId="0" applyNumberFormat="1"/>
    <xf numFmtId="0" fontId="2" fillId="6" borderId="3" xfId="1" applyFont="1" applyFill="1" applyBorder="1" applyAlignment="1">
      <alignment horizontal="center" vertical="center" wrapText="1" shrinkToFit="1"/>
    </xf>
    <xf numFmtId="0" fontId="2" fillId="6" borderId="4" xfId="1" applyFont="1" applyFill="1" applyBorder="1" applyAlignment="1">
      <alignment horizontal="center" vertical="center" wrapText="1" shrinkToFit="1"/>
    </xf>
    <xf numFmtId="43" fontId="0" fillId="0" borderId="3" xfId="0" applyNumberFormat="1" applyBorder="1" applyAlignment="1">
      <alignment horizontal="center"/>
    </xf>
    <xf numFmtId="14" fontId="4" fillId="0" borderId="0" xfId="0" applyNumberFormat="1" applyFont="1"/>
    <xf numFmtId="14" fontId="6" fillId="0" borderId="0" xfId="0" applyNumberFormat="1" applyFont="1"/>
    <xf numFmtId="0" fontId="2" fillId="6" borderId="1" xfId="1" applyFont="1" applyFill="1" applyBorder="1" applyAlignment="1">
      <alignment horizontal="center" vertical="center" wrapText="1" shrinkToFit="1"/>
    </xf>
    <xf numFmtId="0" fontId="2" fillId="6" borderId="2" xfId="1" applyFont="1" applyFill="1" applyBorder="1" applyAlignment="1">
      <alignment horizontal="center" vertical="center" wrapText="1" shrinkToFit="1"/>
    </xf>
    <xf numFmtId="0" fontId="2" fillId="6" borderId="8" xfId="1" applyFont="1" applyFill="1" applyBorder="1" applyAlignment="1">
      <alignment horizontal="center" vertical="center" wrapText="1" shrinkToFit="1"/>
    </xf>
    <xf numFmtId="164" fontId="0" fillId="0" borderId="0" xfId="0" applyNumberFormat="1"/>
    <xf numFmtId="0" fontId="2" fillId="7" borderId="1" xfId="1" applyFont="1" applyFill="1" applyBorder="1" applyAlignment="1">
      <alignment vertical="center" wrapText="1" shrinkToFit="1"/>
    </xf>
    <xf numFmtId="0" fontId="0" fillId="0" borderId="0" xfId="0" applyAlignment="1">
      <alignment horizontal="center"/>
    </xf>
    <xf numFmtId="0" fontId="0" fillId="0" borderId="14" xfId="0" applyFill="1" applyBorder="1" applyAlignment="1">
      <alignment vertical="center"/>
    </xf>
    <xf numFmtId="0" fontId="0" fillId="0" borderId="0" xfId="0" applyFill="1"/>
    <xf numFmtId="0" fontId="2" fillId="0" borderId="15" xfId="1" applyFont="1" applyFill="1" applyBorder="1" applyAlignment="1">
      <alignment vertical="center" wrapText="1" shrinkToFit="1"/>
    </xf>
    <xf numFmtId="0" fontId="2" fillId="0" borderId="1" xfId="1" applyFont="1" applyFill="1" applyBorder="1" applyAlignment="1">
      <alignment vertical="center" wrapText="1" shrinkToFit="1"/>
    </xf>
    <xf numFmtId="164" fontId="0" fillId="0" borderId="3" xfId="0" applyNumberFormat="1" applyBorder="1"/>
    <xf numFmtId="43" fontId="0" fillId="7" borderId="3" xfId="2" applyFont="1" applyFill="1" applyBorder="1"/>
    <xf numFmtId="165" fontId="0" fillId="7" borderId="3" xfId="3" applyFont="1" applyFill="1" applyBorder="1"/>
    <xf numFmtId="0" fontId="0" fillId="7" borderId="3" xfId="0" applyFill="1" applyBorder="1"/>
    <xf numFmtId="164" fontId="0" fillId="7" borderId="3" xfId="0" applyNumberFormat="1" applyFill="1" applyBorder="1" applyAlignment="1"/>
    <xf numFmtId="165" fontId="0" fillId="7" borderId="3" xfId="3" applyFont="1" applyFill="1" applyBorder="1" applyAlignment="1"/>
    <xf numFmtId="0" fontId="0" fillId="6" borderId="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/>
    <xf numFmtId="0" fontId="4" fillId="0" borderId="7" xfId="0" applyFont="1" applyBorder="1" applyAlignment="1"/>
    <xf numFmtId="44" fontId="0" fillId="0" borderId="0" xfId="0" applyNumberFormat="1"/>
    <xf numFmtId="165" fontId="8" fillId="0" borderId="3" xfId="3" applyFont="1" applyBorder="1"/>
    <xf numFmtId="0" fontId="0" fillId="0" borderId="3" xfId="0" applyBorder="1" applyAlignment="1">
      <alignment horizontal="center" vertical="center" wrapText="1"/>
    </xf>
    <xf numFmtId="0" fontId="2" fillId="7" borderId="1" xfId="1" applyFont="1" applyFill="1" applyBorder="1" applyAlignment="1">
      <alignment horizontal="right" vertical="center" wrapText="1" shrinkToFit="1"/>
    </xf>
    <xf numFmtId="0" fontId="2" fillId="7" borderId="2" xfId="1" applyFont="1" applyFill="1" applyBorder="1" applyAlignment="1">
      <alignment horizontal="right" vertical="center" wrapText="1" shrinkToFit="1"/>
    </xf>
    <xf numFmtId="0" fontId="2" fillId="7" borderId="8" xfId="1" applyFont="1" applyFill="1" applyBorder="1" applyAlignment="1">
      <alignment horizontal="right" vertical="center" wrapText="1" shrinkToFit="1"/>
    </xf>
    <xf numFmtId="0" fontId="2" fillId="0" borderId="3" xfId="1" applyFont="1" applyFill="1" applyBorder="1" applyAlignment="1">
      <alignment horizontal="center" vertical="center" wrapText="1" shrinkToFit="1"/>
    </xf>
    <xf numFmtId="43" fontId="0" fillId="0" borderId="3" xfId="0" applyNumberFormat="1" applyBorder="1" applyAlignment="1">
      <alignment vertical="center"/>
    </xf>
    <xf numFmtId="43" fontId="0" fillId="4" borderId="3" xfId="0" applyNumberFormat="1" applyFill="1" applyBorder="1" applyAlignment="1">
      <alignment vertical="center"/>
    </xf>
    <xf numFmtId="43" fontId="0" fillId="7" borderId="16" xfId="2" applyFont="1" applyFill="1" applyBorder="1"/>
    <xf numFmtId="0" fontId="9" fillId="0" borderId="8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43" fontId="0" fillId="7" borderId="18" xfId="2" applyFont="1" applyFill="1" applyBorder="1"/>
    <xf numFmtId="2" fontId="8" fillId="3" borderId="3" xfId="0" applyNumberFormat="1" applyFon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2" fillId="0" borderId="1" xfId="1" applyFont="1" applyFill="1" applyBorder="1" applyAlignment="1">
      <alignment horizontal="left" vertical="center" wrapText="1" shrinkToFit="1"/>
    </xf>
    <xf numFmtId="0" fontId="2" fillId="0" borderId="2" xfId="1" applyFont="1" applyFill="1" applyBorder="1" applyAlignment="1">
      <alignment horizontal="left" vertical="center" wrapText="1" shrinkToFit="1"/>
    </xf>
    <xf numFmtId="0" fontId="2" fillId="0" borderId="8" xfId="1" applyFont="1" applyFill="1" applyBorder="1" applyAlignment="1">
      <alignment horizontal="left" vertical="center" wrapText="1" shrinkToFi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6" borderId="3" xfId="0" applyFont="1" applyFill="1" applyBorder="1" applyAlignment="1">
      <alignment horizontal="center"/>
    </xf>
  </cellXfs>
  <cellStyles count="5">
    <cellStyle name="Migliaia" xfId="2" builtinId="3"/>
    <cellStyle name="Normale" xfId="0" builtinId="0"/>
    <cellStyle name="Normale 2" xfId="1"/>
    <cellStyle name="Normale 2 2" xfId="4"/>
    <cellStyle name="Valuta" xfId="3" builtinId="4"/>
  </cellStyles>
  <dxfs count="0"/>
  <tableStyles count="0" defaultTableStyle="TableStyleMedium2" defaultPivotStyle="PivotStyleMedium9"/>
  <colors>
    <mruColors>
      <color rgb="FFF0F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3"/>
  <sheetViews>
    <sheetView tabSelected="1" topLeftCell="A22" zoomScaleNormal="100" workbookViewId="0">
      <selection activeCell="J37" sqref="J37"/>
    </sheetView>
  </sheetViews>
  <sheetFormatPr defaultRowHeight="15" x14ac:dyDescent="0.25"/>
  <cols>
    <col min="1" max="1" width="5.7109375" customWidth="1"/>
    <col min="2" max="2" width="30.7109375" customWidth="1"/>
    <col min="3" max="3" width="13.140625" customWidth="1"/>
    <col min="4" max="4" width="12" customWidth="1"/>
    <col min="5" max="5" width="13.28515625" customWidth="1"/>
    <col min="6" max="6" width="13.140625" customWidth="1"/>
    <col min="7" max="7" width="12.5703125" customWidth="1"/>
    <col min="8" max="8" width="14.140625" customWidth="1"/>
    <col min="9" max="9" width="12.5703125" customWidth="1"/>
    <col min="10" max="10" width="12.85546875" customWidth="1"/>
    <col min="11" max="11" width="13.7109375" customWidth="1"/>
    <col min="12" max="12" width="13.28515625" customWidth="1"/>
    <col min="13" max="13" width="12.5703125" customWidth="1"/>
    <col min="14" max="14" width="11.7109375" customWidth="1"/>
    <col min="15" max="15" width="13" customWidth="1"/>
    <col min="16" max="16" width="11.85546875" customWidth="1"/>
    <col min="17" max="17" width="12.85546875" customWidth="1"/>
    <col min="18" max="18" width="11.85546875" customWidth="1"/>
    <col min="19" max="19" width="12" bestFit="1" customWidth="1"/>
    <col min="20" max="20" width="11.85546875" customWidth="1"/>
    <col min="21" max="21" width="13.140625" bestFit="1" customWidth="1"/>
    <col min="22" max="28" width="11" customWidth="1"/>
    <col min="29" max="30" width="11.28515625" bestFit="1" customWidth="1"/>
    <col min="31" max="31" width="11" customWidth="1"/>
    <col min="32" max="32" width="10.7109375" bestFit="1" customWidth="1"/>
    <col min="33" max="33" width="8" bestFit="1" customWidth="1"/>
    <col min="34" max="35" width="11.28515625" bestFit="1" customWidth="1"/>
    <col min="36" max="36" width="10.85546875" bestFit="1" customWidth="1"/>
  </cols>
  <sheetData>
    <row r="2" spans="1:21" x14ac:dyDescent="0.25">
      <c r="H2" s="76" t="s">
        <v>54</v>
      </c>
      <c r="I2" s="77"/>
      <c r="J2" s="77"/>
      <c r="K2" s="77"/>
      <c r="L2" s="77"/>
      <c r="M2" s="77"/>
      <c r="N2" s="78"/>
    </row>
    <row r="3" spans="1:21" x14ac:dyDescent="0.25">
      <c r="A3" s="86" t="s">
        <v>63</v>
      </c>
      <c r="B3" s="87"/>
      <c r="C3" s="87"/>
      <c r="D3" s="87"/>
      <c r="E3" s="87"/>
      <c r="F3" s="88"/>
      <c r="H3" s="79" t="s">
        <v>18</v>
      </c>
      <c r="I3" s="81" t="s">
        <v>36</v>
      </c>
      <c r="J3" s="81"/>
      <c r="K3" s="82" t="s">
        <v>37</v>
      </c>
      <c r="L3" s="82"/>
      <c r="M3" s="80" t="s">
        <v>12</v>
      </c>
      <c r="N3" s="80"/>
    </row>
    <row r="4" spans="1:21" s="3" customFormat="1" ht="30" x14ac:dyDescent="0.25">
      <c r="B4" s="17" t="s">
        <v>1</v>
      </c>
      <c r="C4" s="17" t="s">
        <v>64</v>
      </c>
      <c r="D4" s="17" t="s">
        <v>62</v>
      </c>
      <c r="E4" s="17" t="s">
        <v>2</v>
      </c>
      <c r="F4" s="17" t="s">
        <v>0</v>
      </c>
      <c r="G4" s="18"/>
      <c r="H4" s="79"/>
      <c r="I4" s="56" t="s">
        <v>38</v>
      </c>
      <c r="J4" s="56" t="s">
        <v>39</v>
      </c>
      <c r="K4" s="57" t="s">
        <v>38</v>
      </c>
      <c r="L4" s="57" t="s">
        <v>39</v>
      </c>
      <c r="M4" s="55" t="s">
        <v>38</v>
      </c>
      <c r="N4" s="55" t="s">
        <v>39</v>
      </c>
    </row>
    <row r="5" spans="1:21" x14ac:dyDescent="0.25">
      <c r="A5" s="2" t="s">
        <v>30</v>
      </c>
      <c r="B5" s="4" t="s">
        <v>66</v>
      </c>
      <c r="C5" s="62">
        <f>ROUND(1720/12,0)</f>
        <v>143</v>
      </c>
      <c r="D5" s="61">
        <f>8674.15+4266.56+40034.5+15167.1</f>
        <v>68142.31</v>
      </c>
      <c r="E5" s="7">
        <v>1720</v>
      </c>
      <c r="F5" s="6">
        <f>ROUND(D5/E5,2)</f>
        <v>39.619999999999997</v>
      </c>
      <c r="G5" s="33"/>
      <c r="H5" s="47" t="s">
        <v>13</v>
      </c>
      <c r="I5" s="11">
        <v>100</v>
      </c>
      <c r="J5" s="6">
        <v>4172</v>
      </c>
      <c r="K5" s="2">
        <v>59</v>
      </c>
      <c r="L5" s="6">
        <v>1828</v>
      </c>
      <c r="M5" s="49">
        <f>I5+K5</f>
        <v>159</v>
      </c>
      <c r="N5" s="6">
        <f>J5+L5</f>
        <v>6000</v>
      </c>
    </row>
    <row r="6" spans="1:21" x14ac:dyDescent="0.25">
      <c r="A6" s="2" t="s">
        <v>31</v>
      </c>
      <c r="B6" s="4" t="s">
        <v>67</v>
      </c>
      <c r="C6" s="62">
        <f t="shared" ref="C6:C8" si="0">ROUND(1720/12,0)</f>
        <v>143</v>
      </c>
      <c r="D6" s="6">
        <f>50831.34+18886.35</f>
        <v>69717.69</v>
      </c>
      <c r="E6" s="7">
        <v>1720</v>
      </c>
      <c r="F6" s="6">
        <f>ROUND(D6/E6,2)</f>
        <v>40.53</v>
      </c>
      <c r="G6" s="33"/>
      <c r="H6" s="48" t="s">
        <v>14</v>
      </c>
      <c r="I6" s="11">
        <v>47</v>
      </c>
      <c r="J6" s="6">
        <v>1960</v>
      </c>
      <c r="K6" s="2">
        <v>75</v>
      </c>
      <c r="L6" s="6">
        <v>3040</v>
      </c>
      <c r="M6" s="49">
        <f t="shared" ref="M6:M8" si="1">I6+K6</f>
        <v>122</v>
      </c>
      <c r="N6" s="6">
        <f t="shared" ref="N6:N8" si="2">J6+L6</f>
        <v>5000</v>
      </c>
    </row>
    <row r="7" spans="1:21" x14ac:dyDescent="0.25">
      <c r="A7" s="2" t="s">
        <v>31</v>
      </c>
      <c r="B7" s="4" t="s">
        <v>68</v>
      </c>
      <c r="C7" s="62">
        <f t="shared" si="0"/>
        <v>143</v>
      </c>
      <c r="D7" s="6">
        <f>50831.34+18886.35</f>
        <v>69717.69</v>
      </c>
      <c r="E7" s="7">
        <v>1720</v>
      </c>
      <c r="F7" s="6">
        <f>ROUND(D7/E7,2)</f>
        <v>40.53</v>
      </c>
      <c r="G7" s="33"/>
      <c r="H7" s="48" t="s">
        <v>15</v>
      </c>
      <c r="I7" s="11">
        <v>496</v>
      </c>
      <c r="J7" s="6">
        <v>20693</v>
      </c>
      <c r="K7" s="2">
        <v>353</v>
      </c>
      <c r="L7" s="6">
        <v>14307</v>
      </c>
      <c r="M7" s="49">
        <f t="shared" si="1"/>
        <v>849</v>
      </c>
      <c r="N7" s="6">
        <f t="shared" si="2"/>
        <v>35000</v>
      </c>
      <c r="O7" s="59" t="s">
        <v>51</v>
      </c>
      <c r="P7" s="58"/>
      <c r="Q7" s="58"/>
    </row>
    <row r="8" spans="1:21" x14ac:dyDescent="0.25">
      <c r="A8" s="2" t="s">
        <v>31</v>
      </c>
      <c r="B8" s="4" t="s">
        <v>69</v>
      </c>
      <c r="C8" s="62">
        <f t="shared" si="0"/>
        <v>143</v>
      </c>
      <c r="D8" s="6">
        <f>62722.42+23293.19</f>
        <v>86015.61</v>
      </c>
      <c r="E8" s="7">
        <v>1720</v>
      </c>
      <c r="F8" s="6">
        <f>ROUND(D8/E8,2)</f>
        <v>50.01</v>
      </c>
      <c r="G8" s="33"/>
      <c r="H8" s="48" t="s">
        <v>16</v>
      </c>
      <c r="I8" s="11">
        <v>120</v>
      </c>
      <c r="J8" s="6">
        <v>5000</v>
      </c>
      <c r="K8" s="2">
        <f>185+417</f>
        <v>602</v>
      </c>
      <c r="L8" s="6">
        <f>7500+20000</f>
        <v>27500</v>
      </c>
      <c r="M8" s="49">
        <f t="shared" si="1"/>
        <v>722</v>
      </c>
      <c r="N8" s="6">
        <f t="shared" si="2"/>
        <v>32500</v>
      </c>
    </row>
    <row r="9" spans="1:21" x14ac:dyDescent="0.25">
      <c r="D9" s="8"/>
      <c r="E9" s="8"/>
      <c r="F9" s="9"/>
      <c r="H9" s="43" t="s">
        <v>17</v>
      </c>
      <c r="I9" s="50">
        <f t="shared" ref="I9:N9" si="3">SUM(I5:I8)</f>
        <v>763</v>
      </c>
      <c r="J9" s="51">
        <f t="shared" si="3"/>
        <v>31825</v>
      </c>
      <c r="K9" s="52">
        <f t="shared" si="3"/>
        <v>1089</v>
      </c>
      <c r="L9" s="51">
        <f t="shared" si="3"/>
        <v>46675</v>
      </c>
      <c r="M9" s="53">
        <f t="shared" si="3"/>
        <v>1852</v>
      </c>
      <c r="N9" s="54">
        <f t="shared" si="3"/>
        <v>78500</v>
      </c>
    </row>
    <row r="10" spans="1:21" x14ac:dyDescent="0.25">
      <c r="D10" s="8"/>
      <c r="E10" s="8"/>
      <c r="F10" s="8"/>
      <c r="G10" s="8"/>
      <c r="H10" s="10"/>
      <c r="I10" s="9"/>
      <c r="U10" s="8"/>
    </row>
    <row r="11" spans="1:21" x14ac:dyDescent="0.25">
      <c r="E11" s="10"/>
      <c r="F11" s="10"/>
      <c r="G11" s="10"/>
      <c r="H11" s="10"/>
      <c r="I11" s="10"/>
      <c r="K11" s="10"/>
      <c r="L11" s="10"/>
      <c r="M11" s="10"/>
      <c r="N11" s="10"/>
      <c r="O11" s="10"/>
      <c r="P11" s="10"/>
    </row>
    <row r="12" spans="1:21" x14ac:dyDescent="0.25">
      <c r="C12" s="95" t="s">
        <v>20</v>
      </c>
      <c r="D12" s="95"/>
      <c r="E12" s="95"/>
      <c r="F12" s="95"/>
      <c r="G12" s="95"/>
      <c r="H12" s="95"/>
      <c r="I12" s="12"/>
      <c r="L12" s="60"/>
    </row>
    <row r="13" spans="1:21" x14ac:dyDescent="0.25">
      <c r="C13" s="94" t="s">
        <v>33</v>
      </c>
      <c r="D13" s="94"/>
      <c r="E13" s="94"/>
      <c r="F13" s="94"/>
      <c r="G13" s="94"/>
      <c r="H13" s="94"/>
      <c r="I13" s="12"/>
      <c r="J13" s="13"/>
    </row>
    <row r="14" spans="1:21" ht="60" x14ac:dyDescent="0.25">
      <c r="B14" s="5" t="s">
        <v>1</v>
      </c>
      <c r="C14" s="16" t="s">
        <v>32</v>
      </c>
      <c r="D14" s="16" t="s">
        <v>10</v>
      </c>
      <c r="E14" s="16" t="s">
        <v>6</v>
      </c>
      <c r="F14" s="16" t="s">
        <v>7</v>
      </c>
      <c r="G14" s="16" t="s">
        <v>8</v>
      </c>
      <c r="H14" s="5" t="s">
        <v>9</v>
      </c>
      <c r="I14" s="5" t="s">
        <v>27</v>
      </c>
      <c r="J14" s="13"/>
    </row>
    <row r="15" spans="1:21" x14ac:dyDescent="0.25">
      <c r="B15" s="4" t="s">
        <v>40</v>
      </c>
      <c r="C15" s="2">
        <f>1720*2</f>
        <v>3440</v>
      </c>
      <c r="D15" s="11">
        <f>ROUND(C15*E15/100,0)</f>
        <v>241</v>
      </c>
      <c r="E15" s="75">
        <v>7</v>
      </c>
      <c r="F15" s="11">
        <f>ROUND(D5*E15/100,2)</f>
        <v>4769.96</v>
      </c>
      <c r="G15" s="11">
        <f>ROUND(D5/12*E15/100,2)</f>
        <v>397.5</v>
      </c>
      <c r="H15" s="14">
        <f>G15*24</f>
        <v>9540</v>
      </c>
      <c r="I15" s="36">
        <f>ROUND(E5/12*E15/100,2)</f>
        <v>10.029999999999999</v>
      </c>
      <c r="J15" s="13"/>
      <c r="K15" s="42"/>
    </row>
    <row r="16" spans="1:21" x14ac:dyDescent="0.25">
      <c r="B16" s="4" t="s">
        <v>41</v>
      </c>
      <c r="C16" s="2">
        <f>1720*2</f>
        <v>3440</v>
      </c>
      <c r="D16" s="11">
        <f>ROUND(C16*E16/100,0)</f>
        <v>853</v>
      </c>
      <c r="E16" s="75">
        <v>24.8</v>
      </c>
      <c r="F16" s="11">
        <f>ROUND(D6*E16/100,2)</f>
        <v>17289.990000000002</v>
      </c>
      <c r="G16" s="11">
        <f>ROUND(D6/12*E16/100,2)</f>
        <v>1440.83</v>
      </c>
      <c r="H16" s="14">
        <f>G16*24</f>
        <v>34579.919999999998</v>
      </c>
      <c r="I16" s="36">
        <f>ROUND(E6/12*E16/100,2)</f>
        <v>35.549999999999997</v>
      </c>
      <c r="J16" s="13"/>
    </row>
    <row r="17" spans="2:24" x14ac:dyDescent="0.25">
      <c r="B17" s="4" t="s">
        <v>52</v>
      </c>
      <c r="C17" s="2">
        <f t="shared" ref="C17" si="4">1720*2</f>
        <v>3440</v>
      </c>
      <c r="D17" s="11">
        <f t="shared" ref="D17" si="5">ROUND(C17*E17/100,0)</f>
        <v>846</v>
      </c>
      <c r="E17" s="75">
        <v>24.6</v>
      </c>
      <c r="F17" s="11">
        <f>ROUND(D7*E17/100,2)</f>
        <v>17150.55</v>
      </c>
      <c r="G17" s="11">
        <f>ROUND(D7/12*E17/100,2)</f>
        <v>1429.21</v>
      </c>
      <c r="H17" s="14">
        <f>G17*24</f>
        <v>34301.040000000001</v>
      </c>
      <c r="I17" s="36">
        <f>ROUND(E7/12*E17/100,2)</f>
        <v>35.26</v>
      </c>
      <c r="J17" s="13"/>
    </row>
    <row r="18" spans="2:24" x14ac:dyDescent="0.25">
      <c r="B18" s="4" t="s">
        <v>29</v>
      </c>
      <c r="C18" s="2">
        <f>1720*2</f>
        <v>3440</v>
      </c>
      <c r="D18" s="11">
        <f>ROUND(C18*E18/100,0)</f>
        <v>241</v>
      </c>
      <c r="E18" s="75">
        <v>7</v>
      </c>
      <c r="F18" s="11">
        <f>ROUND(D8*E18/100,2)</f>
        <v>6021.09</v>
      </c>
      <c r="G18" s="11">
        <f>ROUND(D8/12*E18/100,2)</f>
        <v>501.76</v>
      </c>
      <c r="H18" s="14">
        <f>G18*24</f>
        <v>12042.24</v>
      </c>
      <c r="I18" s="36">
        <f>ROUND(E8/12*E18/100,2)</f>
        <v>10.029999999999999</v>
      </c>
      <c r="J18" s="13"/>
      <c r="K18" s="42"/>
    </row>
    <row r="19" spans="2:24" x14ac:dyDescent="0.25">
      <c r="C19" s="92" t="s">
        <v>3</v>
      </c>
      <c r="D19" s="93"/>
      <c r="E19" s="93"/>
      <c r="F19" s="93"/>
      <c r="G19" s="93"/>
      <c r="H19" s="19">
        <f>SUM(H15:H18)</f>
        <v>90463.2</v>
      </c>
      <c r="I19" s="12"/>
      <c r="J19" s="13"/>
    </row>
    <row r="20" spans="2:24" x14ac:dyDescent="0.25">
      <c r="C20" s="92" t="s">
        <v>4</v>
      </c>
      <c r="D20" s="93"/>
      <c r="E20" s="93"/>
      <c r="F20" s="93"/>
      <c r="G20" s="93"/>
      <c r="H20" s="15">
        <v>81000</v>
      </c>
      <c r="I20" s="12"/>
      <c r="J20" s="13"/>
    </row>
    <row r="21" spans="2:24" x14ac:dyDescent="0.25">
      <c r="C21" s="92" t="s">
        <v>5</v>
      </c>
      <c r="D21" s="93"/>
      <c r="E21" s="93"/>
      <c r="F21" s="93"/>
      <c r="G21" s="93"/>
      <c r="H21" s="15">
        <f>H19-H20</f>
        <v>9463.1999999999971</v>
      </c>
      <c r="I21" s="12"/>
    </row>
    <row r="22" spans="2:24" ht="30" customHeight="1" x14ac:dyDescent="0.25"/>
    <row r="23" spans="2:24" x14ac:dyDescent="0.25">
      <c r="B23" s="80" t="s">
        <v>21</v>
      </c>
      <c r="C23" s="80"/>
      <c r="D23" s="80"/>
      <c r="E23" s="80"/>
      <c r="F23" s="80"/>
      <c r="G23" s="80"/>
    </row>
    <row r="24" spans="2:24" ht="48" customHeight="1" x14ac:dyDescent="0.25">
      <c r="B24" s="5" t="s">
        <v>1</v>
      </c>
      <c r="C24" s="5" t="s">
        <v>42</v>
      </c>
      <c r="D24" s="5" t="s">
        <v>43</v>
      </c>
      <c r="E24" s="5" t="s">
        <v>55</v>
      </c>
      <c r="F24" s="5" t="s">
        <v>53</v>
      </c>
      <c r="G24" s="5" t="s">
        <v>11</v>
      </c>
      <c r="H24" s="42"/>
      <c r="I24" s="34" t="s">
        <v>18</v>
      </c>
      <c r="J24" s="39" t="s">
        <v>26</v>
      </c>
      <c r="K24" s="40"/>
      <c r="L24" s="41"/>
      <c r="M24" s="35" t="s">
        <v>28</v>
      </c>
      <c r="N24" s="29" t="s">
        <v>50</v>
      </c>
      <c r="O24" s="29" t="s">
        <v>61</v>
      </c>
      <c r="P24" s="29" t="s">
        <v>65</v>
      </c>
      <c r="R24" s="60"/>
    </row>
    <row r="25" spans="2:24" ht="39" customHeight="1" x14ac:dyDescent="0.25">
      <c r="B25" s="4" t="s">
        <v>40</v>
      </c>
      <c r="C25" s="67">
        <f>$G$15*6</f>
        <v>2385</v>
      </c>
      <c r="D25" s="67">
        <f>$G$15*6</f>
        <v>2385</v>
      </c>
      <c r="E25" s="67">
        <f>$G$15*6</f>
        <v>2385</v>
      </c>
      <c r="F25" s="67">
        <f>$G$15*6</f>
        <v>2385</v>
      </c>
      <c r="G25" s="68">
        <f>SUM(C25:F25)</f>
        <v>9540</v>
      </c>
      <c r="I25" s="26" t="s">
        <v>13</v>
      </c>
      <c r="J25" s="89" t="s">
        <v>19</v>
      </c>
      <c r="K25" s="90"/>
      <c r="L25" s="91"/>
      <c r="M25" s="66" t="s">
        <v>46</v>
      </c>
      <c r="N25" s="27">
        <v>6000</v>
      </c>
      <c r="O25" s="27">
        <v>9500</v>
      </c>
      <c r="P25" s="27">
        <f>C38+H38+M38+R38</f>
        <v>7694.4</v>
      </c>
      <c r="R25" s="60"/>
    </row>
    <row r="26" spans="2:24" s="20" customFormat="1" ht="36" customHeight="1" x14ac:dyDescent="0.25">
      <c r="B26" s="4" t="s">
        <v>41</v>
      </c>
      <c r="C26" s="67">
        <f>$G$16*6</f>
        <v>8644.98</v>
      </c>
      <c r="D26" s="67">
        <f>$G$16*6</f>
        <v>8644.98</v>
      </c>
      <c r="E26" s="67">
        <f t="shared" ref="E26" si="6">$G$16*6</f>
        <v>8644.98</v>
      </c>
      <c r="F26" s="67">
        <f>$G$16*6</f>
        <v>8644.98</v>
      </c>
      <c r="G26" s="68">
        <f>SUM(C26:F26)</f>
        <v>34579.919999999998</v>
      </c>
      <c r="H26"/>
      <c r="I26" s="26" t="s">
        <v>14</v>
      </c>
      <c r="J26" s="89" t="s">
        <v>34</v>
      </c>
      <c r="K26" s="90"/>
      <c r="L26" s="91"/>
      <c r="M26" s="66" t="s">
        <v>46</v>
      </c>
      <c r="N26" s="27">
        <v>5000</v>
      </c>
      <c r="O26" s="27">
        <v>6000</v>
      </c>
      <c r="P26" s="27">
        <f>D38+I38+N38+S38</f>
        <v>5879.6799999999994</v>
      </c>
    </row>
    <row r="27" spans="2:24" ht="25.5" customHeight="1" x14ac:dyDescent="0.25">
      <c r="B27" s="4" t="s">
        <v>52</v>
      </c>
      <c r="C27" s="67">
        <f>$G$17*6</f>
        <v>8575.26</v>
      </c>
      <c r="D27" s="67">
        <f>$G$17*6</f>
        <v>8575.26</v>
      </c>
      <c r="E27" s="67">
        <f t="shared" ref="E27:F27" si="7">$G$17*6</f>
        <v>8575.26</v>
      </c>
      <c r="F27" s="67">
        <f t="shared" si="7"/>
        <v>8575.26</v>
      </c>
      <c r="G27" s="68">
        <f>SUM(C27:F27)</f>
        <v>34301.040000000001</v>
      </c>
      <c r="I27" s="26" t="s">
        <v>15</v>
      </c>
      <c r="J27" s="89" t="s">
        <v>47</v>
      </c>
      <c r="K27" s="90"/>
      <c r="L27" s="91"/>
      <c r="M27" s="66" t="s">
        <v>35</v>
      </c>
      <c r="N27" s="27">
        <v>37500</v>
      </c>
      <c r="O27" s="27">
        <v>40000</v>
      </c>
      <c r="P27" s="27">
        <f>E38+J38+O38+T38</f>
        <v>40032.000000000007</v>
      </c>
    </row>
    <row r="28" spans="2:24" ht="25.5" customHeight="1" x14ac:dyDescent="0.25">
      <c r="B28" s="4" t="s">
        <v>29</v>
      </c>
      <c r="C28" s="67">
        <f>$G$18*6</f>
        <v>3010.56</v>
      </c>
      <c r="D28" s="67">
        <f>$G$18*6</f>
        <v>3010.56</v>
      </c>
      <c r="E28" s="67">
        <f>$G$18*6</f>
        <v>3010.56</v>
      </c>
      <c r="F28" s="67">
        <f>$G$18*6</f>
        <v>3010.56</v>
      </c>
      <c r="G28" s="68">
        <f>SUM(C28:F28)</f>
        <v>12042.24</v>
      </c>
      <c r="I28" s="26" t="s">
        <v>16</v>
      </c>
      <c r="J28" s="89" t="s">
        <v>48</v>
      </c>
      <c r="K28" s="90"/>
      <c r="L28" s="91"/>
      <c r="M28" s="66" t="s">
        <v>49</v>
      </c>
      <c r="N28" s="27">
        <v>32500</v>
      </c>
      <c r="O28" s="27">
        <v>35000</v>
      </c>
      <c r="P28" s="27">
        <f>F38+K38+P38+U38</f>
        <v>36857.120000000003</v>
      </c>
    </row>
    <row r="29" spans="2:24" x14ac:dyDescent="0.25">
      <c r="B29" s="22" t="s">
        <v>11</v>
      </c>
      <c r="C29" s="68">
        <f t="shared" ref="C29:F29" si="8">SUM(C25:C28)</f>
        <v>22615.8</v>
      </c>
      <c r="D29" s="68">
        <f t="shared" si="8"/>
        <v>22615.8</v>
      </c>
      <c r="E29" s="68">
        <f t="shared" si="8"/>
        <v>22615.8</v>
      </c>
      <c r="F29" s="68">
        <f t="shared" si="8"/>
        <v>22615.8</v>
      </c>
      <c r="G29" s="68">
        <f>SUM(G25:G28)</f>
        <v>90463.2</v>
      </c>
      <c r="I29" s="63" t="s">
        <v>17</v>
      </c>
      <c r="J29" s="64"/>
      <c r="K29" s="64"/>
      <c r="L29" s="64"/>
      <c r="M29" s="65"/>
      <c r="N29" s="28">
        <f>SUM(N25:N28)</f>
        <v>81000</v>
      </c>
      <c r="O29" s="28">
        <f>SUM(O25:O28)</f>
        <v>90500</v>
      </c>
      <c r="P29" s="28">
        <f>SUM(P25:P28)</f>
        <v>90463.200000000012</v>
      </c>
    </row>
    <row r="30" spans="2:24" x14ac:dyDescent="0.25">
      <c r="P30" s="1"/>
    </row>
    <row r="31" spans="2:24" ht="15.75" thickBot="1" x14ac:dyDescent="0.3">
      <c r="C31" s="38"/>
      <c r="D31" s="38"/>
      <c r="E31" s="38"/>
      <c r="F31" s="38"/>
      <c r="I31" s="37"/>
      <c r="Q31" s="37"/>
      <c r="S31" s="37"/>
      <c r="T31" s="37"/>
      <c r="U31" s="37"/>
      <c r="V31" s="37"/>
      <c r="X31" s="37"/>
    </row>
    <row r="32" spans="2:24" x14ac:dyDescent="0.25">
      <c r="B32" s="46"/>
      <c r="C32" s="83" t="s">
        <v>44</v>
      </c>
      <c r="D32" s="84"/>
      <c r="E32" s="84"/>
      <c r="F32" s="84"/>
      <c r="G32" s="85"/>
      <c r="H32" s="83" t="s">
        <v>45</v>
      </c>
      <c r="I32" s="84"/>
      <c r="J32" s="84"/>
      <c r="K32" s="84"/>
      <c r="L32" s="85"/>
      <c r="M32" s="83" t="s">
        <v>56</v>
      </c>
      <c r="N32" s="84"/>
      <c r="O32" s="84"/>
      <c r="P32" s="84"/>
      <c r="Q32" s="85"/>
      <c r="R32" s="83" t="s">
        <v>57</v>
      </c>
      <c r="S32" s="84"/>
      <c r="T32" s="84"/>
      <c r="U32" s="84"/>
      <c r="V32" s="85"/>
      <c r="W32" s="44" t="s">
        <v>12</v>
      </c>
    </row>
    <row r="33" spans="1:23" ht="23.25" customHeight="1" x14ac:dyDescent="0.25">
      <c r="A33" s="45"/>
      <c r="B33" s="24" t="s">
        <v>1</v>
      </c>
      <c r="C33" s="25" t="s">
        <v>22</v>
      </c>
      <c r="D33" s="5" t="s">
        <v>23</v>
      </c>
      <c r="E33" s="5" t="s">
        <v>58</v>
      </c>
      <c r="F33" s="5" t="s">
        <v>60</v>
      </c>
      <c r="G33" s="70" t="s">
        <v>5</v>
      </c>
      <c r="H33" s="25" t="s">
        <v>22</v>
      </c>
      <c r="I33" s="5" t="s">
        <v>23</v>
      </c>
      <c r="J33" s="5" t="s">
        <v>24</v>
      </c>
      <c r="K33" s="5" t="s">
        <v>25</v>
      </c>
      <c r="L33" s="70" t="s">
        <v>5</v>
      </c>
      <c r="M33" s="25" t="s">
        <v>22</v>
      </c>
      <c r="N33" s="5" t="s">
        <v>23</v>
      </c>
      <c r="O33" s="5" t="s">
        <v>24</v>
      </c>
      <c r="P33" s="5" t="s">
        <v>25</v>
      </c>
      <c r="Q33" s="70" t="s">
        <v>5</v>
      </c>
      <c r="R33" s="25" t="s">
        <v>22</v>
      </c>
      <c r="S33" s="5" t="s">
        <v>23</v>
      </c>
      <c r="T33" s="5" t="s">
        <v>59</v>
      </c>
      <c r="U33" s="5" t="s">
        <v>25</v>
      </c>
      <c r="V33" s="72" t="s">
        <v>5</v>
      </c>
    </row>
    <row r="34" spans="1:23" ht="23.25" customHeight="1" x14ac:dyDescent="0.25">
      <c r="A34" s="45"/>
      <c r="B34" s="4" t="s">
        <v>40</v>
      </c>
      <c r="C34" s="30">
        <f>$F$5*6*4</f>
        <v>950.87999999999988</v>
      </c>
      <c r="D34" s="11">
        <f t="shared" ref="D34:O34" si="9">$F$5*6*2</f>
        <v>475.43999999999994</v>
      </c>
      <c r="E34" s="11">
        <f>$F$5*4*5+7.8</f>
        <v>800.19999999999993</v>
      </c>
      <c r="F34" s="11">
        <f>$F$5*1*4</f>
        <v>158.47999999999999</v>
      </c>
      <c r="G34" s="71">
        <f>C25-(SUM(C34:F34))</f>
        <v>0</v>
      </c>
      <c r="H34" s="30">
        <f>$F$5*6*4</f>
        <v>950.87999999999988</v>
      </c>
      <c r="I34" s="11">
        <f t="shared" si="9"/>
        <v>475.43999999999994</v>
      </c>
      <c r="J34" s="11">
        <f>$F$5*6*2+7.8</f>
        <v>483.23999999999995</v>
      </c>
      <c r="K34" s="11">
        <f t="shared" si="9"/>
        <v>475.43999999999994</v>
      </c>
      <c r="L34" s="71">
        <f>D25-(SUM(H34:K34))</f>
        <v>0</v>
      </c>
      <c r="M34" s="30">
        <f>$F$5*6*4</f>
        <v>950.87999999999988</v>
      </c>
      <c r="N34" s="11">
        <f t="shared" si="9"/>
        <v>475.43999999999994</v>
      </c>
      <c r="O34" s="11">
        <f t="shared" si="9"/>
        <v>475.43999999999994</v>
      </c>
      <c r="P34" s="11">
        <f>$F$5*6*2+7.8</f>
        <v>483.23999999999995</v>
      </c>
      <c r="Q34" s="71">
        <f>E25-(SUM(M34:P34))</f>
        <v>0</v>
      </c>
      <c r="R34" s="30">
        <f>$F$5*6*4</f>
        <v>950.87999999999988</v>
      </c>
      <c r="S34" s="11">
        <f>$F$5*6*2+87.04</f>
        <v>562.4799999999999</v>
      </c>
      <c r="T34" s="11">
        <f>$F$5*2*2</f>
        <v>158.47999999999999</v>
      </c>
      <c r="U34" s="11">
        <f>$F$5*6*3</f>
        <v>713.15999999999985</v>
      </c>
      <c r="V34" s="73">
        <f>F25-(SUM(R34:U34))</f>
        <v>0</v>
      </c>
      <c r="W34" s="21">
        <f>SUM(C34:V34)</f>
        <v>9539.9999999999982</v>
      </c>
    </row>
    <row r="35" spans="1:23" ht="24" customHeight="1" x14ac:dyDescent="0.25">
      <c r="A35" s="45"/>
      <c r="B35" s="4" t="s">
        <v>41</v>
      </c>
      <c r="C35" s="30">
        <f>$F$6*6*4</f>
        <v>972.72</v>
      </c>
      <c r="D35" s="11">
        <f t="shared" ref="D35:S35" si="10">$F$6*6*2</f>
        <v>486.36</v>
      </c>
      <c r="E35" s="11">
        <f>$F$6*4*36-28.44</f>
        <v>5807.88</v>
      </c>
      <c r="F35" s="11">
        <f>$F$6*1*34</f>
        <v>1378.02</v>
      </c>
      <c r="G35" s="71">
        <f>C26-(SUM(C35:F35))</f>
        <v>0</v>
      </c>
      <c r="H35" s="30">
        <f>$F$6*6*4</f>
        <v>972.72</v>
      </c>
      <c r="I35" s="11">
        <f t="shared" si="10"/>
        <v>486.36</v>
      </c>
      <c r="J35" s="11">
        <f>$F$6*6*14+133.68</f>
        <v>3538.2</v>
      </c>
      <c r="K35" s="11">
        <f>$F$6*6*15</f>
        <v>3647.7000000000003</v>
      </c>
      <c r="L35" s="71">
        <f>D26-(SUM(H35:K35))</f>
        <v>0</v>
      </c>
      <c r="M35" s="30">
        <f>$F$6*6*4</f>
        <v>972.72</v>
      </c>
      <c r="N35" s="11">
        <f t="shared" si="10"/>
        <v>486.36</v>
      </c>
      <c r="O35" s="11">
        <f>$F$6*6*15</f>
        <v>3647.7000000000003</v>
      </c>
      <c r="P35" s="11">
        <f>$F$6*6*15-109.5</f>
        <v>3538.2000000000003</v>
      </c>
      <c r="Q35" s="71">
        <f>E26-(SUM(M35:P35))</f>
        <v>0</v>
      </c>
      <c r="R35" s="30">
        <f>$F$6*6*4</f>
        <v>972.72</v>
      </c>
      <c r="S35" s="11">
        <f t="shared" si="10"/>
        <v>486.36</v>
      </c>
      <c r="T35" s="11">
        <f>$F$6*2*20</f>
        <v>1621.2</v>
      </c>
      <c r="U35" s="11">
        <f>$F$6*6*23-28.44</f>
        <v>5564.7000000000007</v>
      </c>
      <c r="V35" s="73">
        <f>F26-(SUM(R35:U35))</f>
        <v>0</v>
      </c>
      <c r="W35" s="21">
        <f t="shared" ref="W35:W37" si="11">SUM(C35:V35)</f>
        <v>34579.920000000006</v>
      </c>
    </row>
    <row r="36" spans="1:23" ht="24" customHeight="1" x14ac:dyDescent="0.25">
      <c r="A36" s="45"/>
      <c r="B36" s="4" t="s">
        <v>52</v>
      </c>
      <c r="C36" s="30"/>
      <c r="D36" s="11">
        <f t="shared" ref="D36:S36" si="12">$F$7*6*2</f>
        <v>486.36</v>
      </c>
      <c r="E36" s="11">
        <f>$F$7*4*40+23.43</f>
        <v>6508.2300000000005</v>
      </c>
      <c r="F36" s="11">
        <f>$F$7*1*39</f>
        <v>1580.67</v>
      </c>
      <c r="G36" s="71">
        <f>C27-(SUM(C36:F36))</f>
        <v>0</v>
      </c>
      <c r="H36" s="30"/>
      <c r="I36" s="11">
        <f t="shared" si="12"/>
        <v>486.36</v>
      </c>
      <c r="J36" s="11">
        <f>$F$7*6*17</f>
        <v>4134.0600000000004</v>
      </c>
      <c r="K36" s="11">
        <f>$F$7*6*16+63.96</f>
        <v>3954.84</v>
      </c>
      <c r="L36" s="71">
        <f>D27-(SUM(H36:K36))</f>
        <v>0</v>
      </c>
      <c r="M36" s="30"/>
      <c r="N36" s="11">
        <f t="shared" si="12"/>
        <v>486.36</v>
      </c>
      <c r="O36" s="11">
        <f>$F$7*6*16+63.96</f>
        <v>3954.84</v>
      </c>
      <c r="P36" s="11">
        <f>$F$7*6*17</f>
        <v>4134.0600000000004</v>
      </c>
      <c r="Q36" s="71">
        <f>E27-(SUM(M36:P36))</f>
        <v>0</v>
      </c>
      <c r="R36" s="30"/>
      <c r="S36" s="11">
        <f t="shared" si="12"/>
        <v>486.36</v>
      </c>
      <c r="T36" s="11">
        <f>$F$7*2*20</f>
        <v>1621.2</v>
      </c>
      <c r="U36" s="11">
        <f>$F$7*6*27-98.16</f>
        <v>6467.7000000000007</v>
      </c>
      <c r="V36" s="73">
        <f>F27-(SUM(R36:U36))</f>
        <v>0</v>
      </c>
      <c r="W36" s="21">
        <f t="shared" si="11"/>
        <v>34301.040000000008</v>
      </c>
    </row>
    <row r="37" spans="1:23" ht="23.25" customHeight="1" x14ac:dyDescent="0.25">
      <c r="A37" s="45"/>
      <c r="B37" s="4" t="s">
        <v>29</v>
      </c>
      <c r="C37" s="30"/>
      <c r="D37" s="11"/>
      <c r="E37" s="11">
        <f>$F$8*4*12+59.97</f>
        <v>2460.4499999999998</v>
      </c>
      <c r="F37" s="11">
        <f>$F$8*1*11</f>
        <v>550.11</v>
      </c>
      <c r="G37" s="71">
        <f>C28-(SUM(C37:F37))</f>
        <v>0</v>
      </c>
      <c r="H37" s="30"/>
      <c r="I37" s="11"/>
      <c r="J37" s="11">
        <f>$F$8*6*5+9.96</f>
        <v>1510.26</v>
      </c>
      <c r="K37" s="11">
        <f>$F$8*6*5</f>
        <v>1500.3</v>
      </c>
      <c r="L37" s="71">
        <f>D28-(SUM(H37:K37))</f>
        <v>0</v>
      </c>
      <c r="M37" s="30"/>
      <c r="N37" s="11"/>
      <c r="O37" s="11">
        <f>$F$8*6*7+9.96</f>
        <v>2110.38</v>
      </c>
      <c r="P37" s="11">
        <f>$F$8*6*3</f>
        <v>900.18000000000006</v>
      </c>
      <c r="Q37" s="71">
        <f>E28-(SUM(M37:P37))</f>
        <v>0</v>
      </c>
      <c r="R37" s="30"/>
      <c r="S37" s="11"/>
      <c r="T37" s="11">
        <f>$F$8*2*12</f>
        <v>1200.24</v>
      </c>
      <c r="U37" s="11">
        <f>$F$8*6*6+9.96</f>
        <v>1810.3200000000002</v>
      </c>
      <c r="V37" s="73">
        <f>F28-(SUM(R37:U37))</f>
        <v>0</v>
      </c>
      <c r="W37" s="21">
        <f t="shared" si="11"/>
        <v>12042.24</v>
      </c>
    </row>
    <row r="38" spans="1:23" ht="23.25" customHeight="1" thickBot="1" x14ac:dyDescent="0.3">
      <c r="B38" s="23" t="s">
        <v>12</v>
      </c>
      <c r="C38" s="31">
        <f>SUM(C34:C37)</f>
        <v>1923.6</v>
      </c>
      <c r="D38" s="32">
        <f t="shared" ref="D38:T38" si="13">SUM(D34:D37)</f>
        <v>1448.1599999999999</v>
      </c>
      <c r="E38" s="32">
        <f>SUM(E34:E37)</f>
        <v>15576.760000000002</v>
      </c>
      <c r="F38" s="32">
        <f t="shared" si="13"/>
        <v>3667.28</v>
      </c>
      <c r="G38" s="69"/>
      <c r="H38" s="31">
        <f t="shared" si="13"/>
        <v>1923.6</v>
      </c>
      <c r="I38" s="32">
        <f t="shared" si="13"/>
        <v>1448.1599999999999</v>
      </c>
      <c r="J38" s="32">
        <f t="shared" si="13"/>
        <v>9665.76</v>
      </c>
      <c r="K38" s="32">
        <f t="shared" si="13"/>
        <v>9578.2800000000007</v>
      </c>
      <c r="L38" s="69"/>
      <c r="M38" s="31">
        <f t="shared" si="13"/>
        <v>1923.6</v>
      </c>
      <c r="N38" s="32">
        <f t="shared" si="13"/>
        <v>1448.1599999999999</v>
      </c>
      <c r="O38" s="32">
        <f t="shared" si="13"/>
        <v>10188.36</v>
      </c>
      <c r="P38" s="32">
        <f t="shared" si="13"/>
        <v>9055.68</v>
      </c>
      <c r="Q38" s="69"/>
      <c r="R38" s="31">
        <f t="shared" si="13"/>
        <v>1923.6</v>
      </c>
      <c r="S38" s="32">
        <f t="shared" si="13"/>
        <v>1535.1999999999998</v>
      </c>
      <c r="T38" s="32">
        <f t="shared" si="13"/>
        <v>4601.12</v>
      </c>
      <c r="U38" s="32">
        <f>SUM(U34:U37)</f>
        <v>14555.880000000001</v>
      </c>
      <c r="V38" s="74"/>
      <c r="W38" s="21">
        <f>SUM(W34:W37)</f>
        <v>90463.200000000026</v>
      </c>
    </row>
    <row r="43" spans="1:23" x14ac:dyDescent="0.25">
      <c r="R43" s="42"/>
    </row>
  </sheetData>
  <mergeCells count="20">
    <mergeCell ref="R32:V32"/>
    <mergeCell ref="A3:F3"/>
    <mergeCell ref="J27:L27"/>
    <mergeCell ref="J28:L28"/>
    <mergeCell ref="C32:G32"/>
    <mergeCell ref="H32:L32"/>
    <mergeCell ref="M32:Q32"/>
    <mergeCell ref="C21:G21"/>
    <mergeCell ref="B23:G23"/>
    <mergeCell ref="C13:H13"/>
    <mergeCell ref="C19:G19"/>
    <mergeCell ref="C12:H12"/>
    <mergeCell ref="C20:G20"/>
    <mergeCell ref="J26:L26"/>
    <mergeCell ref="J25:L25"/>
    <mergeCell ref="H2:N2"/>
    <mergeCell ref="H3:H4"/>
    <mergeCell ref="M3:N3"/>
    <mergeCell ref="I3:J3"/>
    <mergeCell ref="K3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previsione costo personale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2020-12-09T09:21:14Z</dcterms:modified>
</cp:coreProperties>
</file>